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7320" windowHeight="1482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2" i="1" l="1"/>
  <c r="E11" i="1"/>
  <c r="E13" i="1"/>
  <c r="E14" i="1"/>
  <c r="E19" i="1"/>
  <c r="E22" i="1"/>
  <c r="E15" i="1"/>
  <c r="E20" i="1"/>
  <c r="E23" i="1"/>
  <c r="E25" i="1"/>
  <c r="E26" i="1"/>
  <c r="Z13" i="1"/>
  <c r="AA13" i="1"/>
  <c r="AA17" i="1"/>
  <c r="E29" i="1"/>
  <c r="E30" i="1"/>
  <c r="E31" i="1"/>
  <c r="AA15" i="1"/>
  <c r="AA20" i="1"/>
  <c r="E36" i="1"/>
  <c r="E38" i="1"/>
  <c r="E34" i="1"/>
  <c r="J7" i="1"/>
  <c r="J8" i="1"/>
  <c r="P8" i="1"/>
  <c r="J9" i="1"/>
  <c r="P9" i="1"/>
  <c r="J10" i="1"/>
  <c r="P10" i="1"/>
  <c r="J11" i="1"/>
  <c r="P11" i="1"/>
  <c r="J12" i="1"/>
  <c r="P12" i="1"/>
  <c r="J13" i="1"/>
  <c r="P13" i="1"/>
  <c r="J14" i="1"/>
  <c r="P14" i="1"/>
  <c r="J15" i="1"/>
  <c r="P15" i="1"/>
  <c r="J16" i="1"/>
  <c r="P16" i="1"/>
  <c r="J17" i="1"/>
  <c r="P17" i="1"/>
  <c r="J18" i="1"/>
  <c r="P18" i="1"/>
  <c r="J19" i="1"/>
  <c r="P19" i="1"/>
  <c r="J20" i="1"/>
  <c r="P20" i="1"/>
  <c r="J21" i="1"/>
  <c r="P21" i="1"/>
  <c r="P22" i="1"/>
  <c r="J22" i="1"/>
  <c r="P23" i="1"/>
  <c r="J23" i="1"/>
  <c r="P24" i="1"/>
  <c r="J24" i="1"/>
  <c r="P25" i="1"/>
  <c r="J25" i="1"/>
  <c r="P26" i="1"/>
  <c r="J26" i="1"/>
  <c r="P27" i="1"/>
  <c r="J27" i="1"/>
  <c r="P28" i="1"/>
  <c r="J28" i="1"/>
  <c r="P29" i="1"/>
  <c r="J29" i="1"/>
  <c r="P30" i="1"/>
  <c r="J30" i="1"/>
  <c r="P31" i="1"/>
  <c r="J31" i="1"/>
  <c r="P32" i="1"/>
  <c r="J32" i="1"/>
  <c r="P33" i="1"/>
  <c r="J33" i="1"/>
  <c r="P34" i="1"/>
  <c r="J34" i="1"/>
  <c r="P35" i="1"/>
  <c r="J6" i="1"/>
  <c r="P7" i="1"/>
  <c r="P6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7" i="1"/>
  <c r="L7" i="1"/>
  <c r="K7" i="1"/>
  <c r="O6" i="1"/>
  <c r="K6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J35" i="1"/>
  <c r="L35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M6" i="1"/>
  <c r="N6" i="1"/>
  <c r="L6" i="1"/>
  <c r="E39" i="1"/>
</calcChain>
</file>

<file path=xl/sharedStrings.xml><?xml version="1.0" encoding="utf-8"?>
<sst xmlns="http://schemas.openxmlformats.org/spreadsheetml/2006/main" count="64" uniqueCount="50">
  <si>
    <t>coeff_a =</t>
  </si>
  <si>
    <t>coeff_b =</t>
  </si>
  <si>
    <t>t2 =</t>
  </si>
  <si>
    <t>t</t>
  </si>
  <si>
    <t>Inputs</t>
  </si>
  <si>
    <t>coeff_c =</t>
  </si>
  <si>
    <t>Coefficient and solution of quadratic equation</t>
  </si>
  <si>
    <t>b1 = t1^2 =</t>
  </si>
  <si>
    <t>b2 = t2^2 =</t>
  </si>
  <si>
    <t>Time of trick shot</t>
  </si>
  <si>
    <t>t1 =</t>
  </si>
  <si>
    <t>Angle of initial release</t>
  </si>
  <si>
    <t>theta1 =</t>
  </si>
  <si>
    <t>Final y velocity</t>
  </si>
  <si>
    <t>vfy1 =</t>
  </si>
  <si>
    <t>vfy2 =</t>
  </si>
  <si>
    <t>theta2 =</t>
  </si>
  <si>
    <t>[m/s]</t>
  </si>
  <si>
    <t>[degrees]</t>
  </si>
  <si>
    <t>[s]</t>
  </si>
  <si>
    <t>Graph Values</t>
  </si>
  <si>
    <t>Output</t>
  </si>
  <si>
    <t>length to wall (l)</t>
  </si>
  <si>
    <t>height of wall (h)</t>
  </si>
  <si>
    <t>initial velocity (vo)</t>
  </si>
  <si>
    <t>acc. In y-dir. (ay)</t>
  </si>
  <si>
    <t>[m]</t>
  </si>
  <si>
    <t>[m/s2]</t>
  </si>
  <si>
    <t>max. time =</t>
  </si>
  <si>
    <t>Wall Edge</t>
  </si>
  <si>
    <t>x_wall_2</t>
  </si>
  <si>
    <t>x_wall_1</t>
  </si>
  <si>
    <t>y_wall_2</t>
  </si>
  <si>
    <t>y_wall_1</t>
  </si>
  <si>
    <t>#</t>
  </si>
  <si>
    <t>xB1</t>
  </si>
  <si>
    <t>yB1</t>
  </si>
  <si>
    <t>xB2</t>
  </si>
  <si>
    <t>yB2</t>
  </si>
  <si>
    <t>xA</t>
  </si>
  <si>
    <t>yA</t>
  </si>
  <si>
    <t>t =</t>
  </si>
  <si>
    <t>theta =</t>
  </si>
  <si>
    <t>vo =</t>
  </si>
  <si>
    <t>Solution A</t>
  </si>
  <si>
    <t>Trick Shot</t>
  </si>
  <si>
    <t>vxf</t>
  </si>
  <si>
    <t>E</t>
  </si>
  <si>
    <t>2gh</t>
  </si>
  <si>
    <t>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</si>
</sst>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8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3" fillId="0" borderId="0" xfId="0" applyFont="1"/>
    <xf numFmtId="0" fontId="0" fillId="0" borderId="1" xfId="0" applyBorder="1" applyAlignment="1">
      <alignment horizontal="center"/>
    </xf>
  </cellXfs>
  <cellStyles count="8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594792213473316"/>
          <c:y val="0.0277777777777778"/>
          <c:w val="0.901696202055889"/>
          <c:h val="0.936039841173699"/>
        </c:manualLayout>
      </c:layout>
      <c:scatterChart>
        <c:scatterStyle val="lineMarker"/>
        <c:varyColors val="0"/>
        <c:ser>
          <c:idx val="0"/>
          <c:order val="0"/>
          <c:tx>
            <c:v>solutionB1</c:v>
          </c:tx>
          <c:spPr>
            <a:ln w="47625">
              <a:noFill/>
            </a:ln>
          </c:spPr>
          <c:xVal>
            <c:numRef>
              <c:f>Sheet1!$K$6:$K$35</c:f>
              <c:numCache>
                <c:formatCode>0.0</c:formatCode>
                <c:ptCount val="30"/>
                <c:pt idx="0">
                  <c:v>0.0</c:v>
                </c:pt>
                <c:pt idx="1">
                  <c:v>0.368525584221287</c:v>
                </c:pt>
                <c:pt idx="2">
                  <c:v>0.737051168442573</c:v>
                </c:pt>
                <c:pt idx="3">
                  <c:v>1.10557675266386</c:v>
                </c:pt>
                <c:pt idx="4">
                  <c:v>1.474102336885146</c:v>
                </c:pt>
                <c:pt idx="5">
                  <c:v>1.842627921106433</c:v>
                </c:pt>
                <c:pt idx="6">
                  <c:v>2.21115350532772</c:v>
                </c:pt>
                <c:pt idx="7">
                  <c:v>2.579679089549006</c:v>
                </c:pt>
                <c:pt idx="8">
                  <c:v>2.948204673770292</c:v>
                </c:pt>
                <c:pt idx="9">
                  <c:v>3.31673025799158</c:v>
                </c:pt>
                <c:pt idx="10">
                  <c:v>3.685255842212866</c:v>
                </c:pt>
                <c:pt idx="11">
                  <c:v>4.053781426434152</c:v>
                </c:pt>
                <c:pt idx="12">
                  <c:v>4.422307010655439</c:v>
                </c:pt>
                <c:pt idx="13">
                  <c:v>4.790832594876725</c:v>
                </c:pt>
                <c:pt idx="14">
                  <c:v>5.159358179098012</c:v>
                </c:pt>
                <c:pt idx="15">
                  <c:v>5.527883763319299</c:v>
                </c:pt>
                <c:pt idx="16">
                  <c:v>5.896409347540585</c:v>
                </c:pt>
                <c:pt idx="17">
                  <c:v>6.264934931761871</c:v>
                </c:pt>
                <c:pt idx="18">
                  <c:v>6.633460515983158</c:v>
                </c:pt>
                <c:pt idx="19">
                  <c:v>7.001986100204444</c:v>
                </c:pt>
                <c:pt idx="20">
                  <c:v>7.370511684425732</c:v>
                </c:pt>
                <c:pt idx="21">
                  <c:v>7.739037268647018</c:v>
                </c:pt>
                <c:pt idx="22">
                  <c:v>8.107562852868303</c:v>
                </c:pt>
                <c:pt idx="23">
                  <c:v>8.47608843708959</c:v>
                </c:pt>
                <c:pt idx="24">
                  <c:v>8.844614021310878</c:v>
                </c:pt>
                <c:pt idx="25">
                  <c:v>9.213139605532163</c:v>
                </c:pt>
                <c:pt idx="26">
                  <c:v>9.581665189753451</c:v>
                </c:pt>
                <c:pt idx="27">
                  <c:v>9.950190773974737</c:v>
                </c:pt>
                <c:pt idx="28">
                  <c:v>10.31871635819602</c:v>
                </c:pt>
                <c:pt idx="29">
                  <c:v>0.0</c:v>
                </c:pt>
              </c:numCache>
            </c:numRef>
          </c:xVal>
          <c:yVal>
            <c:numRef>
              <c:f>Sheet1!$L$6:$L$35</c:f>
              <c:numCache>
                <c:formatCode>0.0</c:formatCode>
                <c:ptCount val="30"/>
                <c:pt idx="0">
                  <c:v>0.0</c:v>
                </c:pt>
                <c:pt idx="1">
                  <c:v>0.793979560674</c:v>
                </c:pt>
                <c:pt idx="2">
                  <c:v>1.541300381752282</c:v>
                </c:pt>
                <c:pt idx="3">
                  <c:v>2.241962463234844</c:v>
                </c:pt>
                <c:pt idx="4">
                  <c:v>2.895965805121686</c:v>
                </c:pt>
                <c:pt idx="5">
                  <c:v>3.50331040741281</c:v>
                </c:pt>
                <c:pt idx="6">
                  <c:v>4.063996270108213</c:v>
                </c:pt>
                <c:pt idx="7">
                  <c:v>4.578023393207896</c:v>
                </c:pt>
                <c:pt idx="8">
                  <c:v>5.045391776711861</c:v>
                </c:pt>
                <c:pt idx="9">
                  <c:v>5.466101420620106</c:v>
                </c:pt>
                <c:pt idx="10">
                  <c:v>5.840152324932633</c:v>
                </c:pt>
                <c:pt idx="11">
                  <c:v>6.16754448964944</c:v>
                </c:pt>
                <c:pt idx="12">
                  <c:v>6.448277914770527</c:v>
                </c:pt>
                <c:pt idx="13">
                  <c:v>6.682352600295895</c:v>
                </c:pt>
                <c:pt idx="14">
                  <c:v>6.869768546225544</c:v>
                </c:pt>
                <c:pt idx="15">
                  <c:v>7.010525752559473</c:v>
                </c:pt>
                <c:pt idx="16">
                  <c:v>7.104624219297683</c:v>
                </c:pt>
                <c:pt idx="17">
                  <c:v>7.152063946440175</c:v>
                </c:pt>
                <c:pt idx="18">
                  <c:v>7.152844933986944</c:v>
                </c:pt>
                <c:pt idx="19">
                  <c:v>7.106967181937996</c:v>
                </c:pt>
                <c:pt idx="20">
                  <c:v>7.01443069029333</c:v>
                </c:pt>
                <c:pt idx="21">
                  <c:v>6.875235459052941</c:v>
                </c:pt>
                <c:pt idx="22">
                  <c:v>6.689381488216836</c:v>
                </c:pt>
                <c:pt idx="23">
                  <c:v>6.456868777785008</c:v>
                </c:pt>
                <c:pt idx="24">
                  <c:v>6.177697327757464</c:v>
                </c:pt>
                <c:pt idx="25">
                  <c:v>5.851867138134201</c:v>
                </c:pt>
                <c:pt idx="26">
                  <c:v>5.479378208915214</c:v>
                </c:pt>
                <c:pt idx="27">
                  <c:v>5.060230540100513</c:v>
                </c:pt>
                <c:pt idx="28">
                  <c:v>4.594424131690086</c:v>
                </c:pt>
                <c:pt idx="29">
                  <c:v>0.0</c:v>
                </c:pt>
              </c:numCache>
            </c:numRef>
          </c:yVal>
          <c:smooth val="0"/>
        </c:ser>
        <c:ser>
          <c:idx val="1"/>
          <c:order val="1"/>
          <c:tx>
            <c:v>solutionB2</c:v>
          </c:tx>
          <c:spPr>
            <a:ln w="47625">
              <a:noFill/>
            </a:ln>
          </c:spPr>
          <c:xVal>
            <c:numRef>
              <c:f>Sheet1!$M$6:$M$35</c:f>
              <c:numCache>
                <c:formatCode>0.0</c:formatCode>
                <c:ptCount val="30"/>
                <c:pt idx="0">
                  <c:v>0.0</c:v>
                </c:pt>
                <c:pt idx="1">
                  <c:v>0.566213679307767</c:v>
                </c:pt>
                <c:pt idx="2">
                  <c:v>1.132427358615535</c:v>
                </c:pt>
                <c:pt idx="3">
                  <c:v>1.698641037923302</c:v>
                </c:pt>
                <c:pt idx="4">
                  <c:v>2.26485471723107</c:v>
                </c:pt>
                <c:pt idx="5">
                  <c:v>2.831068396538837</c:v>
                </c:pt>
                <c:pt idx="6">
                  <c:v>3.397282075846605</c:v>
                </c:pt>
                <c:pt idx="7">
                  <c:v>3.963495755154372</c:v>
                </c:pt>
                <c:pt idx="8">
                  <c:v>4.52970943446214</c:v>
                </c:pt>
                <c:pt idx="9">
                  <c:v>5.095923113769907</c:v>
                </c:pt>
                <c:pt idx="10">
                  <c:v>5.662136793077675</c:v>
                </c:pt>
                <c:pt idx="11">
                  <c:v>6.228350472385442</c:v>
                </c:pt>
                <c:pt idx="12">
                  <c:v>6.794564151693209</c:v>
                </c:pt>
                <c:pt idx="13">
                  <c:v>7.360777831000977</c:v>
                </c:pt>
                <c:pt idx="14">
                  <c:v>7.926991510308745</c:v>
                </c:pt>
                <c:pt idx="15">
                  <c:v>8.493205189616512</c:v>
                </c:pt>
                <c:pt idx="16">
                  <c:v>9.05941886892428</c:v>
                </c:pt>
                <c:pt idx="17">
                  <c:v>9.625632548232045</c:v>
                </c:pt>
                <c:pt idx="18">
                  <c:v>10.19184622753981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</c:numCache>
            </c:numRef>
          </c:xVal>
          <c:yVal>
            <c:numRef>
              <c:f>Sheet1!$N$6:$N$35</c:f>
              <c:numCache>
                <c:formatCode>0.0</c:formatCode>
                <c:ptCount val="30"/>
                <c:pt idx="0">
                  <c:v>0.0</c:v>
                </c:pt>
                <c:pt idx="1">
                  <c:v>0.671801598739334</c:v>
                </c:pt>
                <c:pt idx="2">
                  <c:v>1.296944457882949</c:v>
                </c:pt>
                <c:pt idx="3">
                  <c:v>1.875428577430845</c:v>
                </c:pt>
                <c:pt idx="4">
                  <c:v>2.407253957383021</c:v>
                </c:pt>
                <c:pt idx="5">
                  <c:v>2.892420597739478</c:v>
                </c:pt>
                <c:pt idx="6">
                  <c:v>3.330928498500215</c:v>
                </c:pt>
                <c:pt idx="7">
                  <c:v>3.722777659665234</c:v>
                </c:pt>
                <c:pt idx="8">
                  <c:v>4.067968081234532</c:v>
                </c:pt>
                <c:pt idx="9">
                  <c:v>4.366499763208111</c:v>
                </c:pt>
                <c:pt idx="10">
                  <c:v>4.618372705585971</c:v>
                </c:pt>
                <c:pt idx="11">
                  <c:v>4.823586908368112</c:v>
                </c:pt>
                <c:pt idx="12">
                  <c:v>4.982142371554533</c:v>
                </c:pt>
                <c:pt idx="13">
                  <c:v>5.094039095145235</c:v>
                </c:pt>
                <c:pt idx="14">
                  <c:v>5.159277079140217</c:v>
                </c:pt>
                <c:pt idx="15">
                  <c:v>5.177856323539481</c:v>
                </c:pt>
                <c:pt idx="16">
                  <c:v>5.149776828343024</c:v>
                </c:pt>
                <c:pt idx="17">
                  <c:v>5.07503859355085</c:v>
                </c:pt>
                <c:pt idx="18">
                  <c:v>4.953641619162952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</c:numCache>
            </c:numRef>
          </c:yVal>
          <c:smooth val="0"/>
        </c:ser>
        <c:ser>
          <c:idx val="2"/>
          <c:order val="2"/>
          <c:tx>
            <c:v>wall_vert.</c:v>
          </c:tx>
          <c:spPr>
            <a:ln w="762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(Sheet1!$E$36,Sheet1!$E$36)</c:f>
              <c:numCache>
                <c:formatCode>General</c:formatCode>
                <c:ptCount val="2"/>
                <c:pt idx="0">
                  <c:v>10.0</c:v>
                </c:pt>
                <c:pt idx="1">
                  <c:v>10.0</c:v>
                </c:pt>
              </c:numCache>
            </c:numRef>
          </c:xVal>
          <c:yVal>
            <c:numRef>
              <c:f>(Sheet1!$E$37,Sheet1!$E$39)</c:f>
              <c:numCache>
                <c:formatCode>General</c:formatCode>
                <c:ptCount val="2"/>
                <c:pt idx="0">
                  <c:v>0.0</c:v>
                </c:pt>
                <c:pt idx="1">
                  <c:v>5.0</c:v>
                </c:pt>
              </c:numCache>
            </c:numRef>
          </c:yVal>
          <c:smooth val="0"/>
        </c:ser>
        <c:ser>
          <c:idx val="3"/>
          <c:order val="3"/>
          <c:tx>
            <c:v>wall_hort.</c:v>
          </c:tx>
          <c:spPr>
            <a:ln w="762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(Sheet1!$E$36,Sheet1!$E$38)</c:f>
              <c:numCache>
                <c:formatCode>General</c:formatCode>
                <c:ptCount val="2"/>
                <c:pt idx="0">
                  <c:v>10.0</c:v>
                </c:pt>
                <c:pt idx="1">
                  <c:v>12.0</c:v>
                </c:pt>
              </c:numCache>
            </c:numRef>
          </c:xVal>
          <c:yVal>
            <c:numRef>
              <c:f>(Sheet1!$E$39,Sheet1!$E$39)</c:f>
              <c:numCache>
                <c:formatCode>General</c:formatCode>
                <c:ptCount val="2"/>
                <c:pt idx="0">
                  <c:v>5.0</c:v>
                </c:pt>
                <c:pt idx="1">
                  <c:v>5.0</c:v>
                </c:pt>
              </c:numCache>
            </c:numRef>
          </c:yVal>
          <c:smooth val="0"/>
        </c:ser>
        <c:ser>
          <c:idx val="4"/>
          <c:order val="4"/>
          <c:tx>
            <c:v>solutionA</c:v>
          </c:tx>
          <c:spPr>
            <a:ln w="47625">
              <a:noFill/>
            </a:ln>
          </c:spPr>
          <c:marker>
            <c:symbol val="triangle"/>
            <c:size val="9"/>
            <c:spPr>
              <a:solidFill>
                <a:schemeClr val="accent3">
                  <a:lumMod val="50000"/>
                </a:schemeClr>
              </a:solidFill>
            </c:spPr>
          </c:marker>
          <c:xVal>
            <c:numRef>
              <c:f>Sheet1!$O$6:$O$35</c:f>
              <c:numCache>
                <c:formatCode>0.0</c:formatCode>
                <c:ptCount val="30"/>
                <c:pt idx="0">
                  <c:v>0.0</c:v>
                </c:pt>
                <c:pt idx="1">
                  <c:v>0.683072028381483</c:v>
                </c:pt>
                <c:pt idx="2">
                  <c:v>1.366144056762967</c:v>
                </c:pt>
                <c:pt idx="3">
                  <c:v>2.04921608514445</c:v>
                </c:pt>
                <c:pt idx="4">
                  <c:v>2.732288113525933</c:v>
                </c:pt>
                <c:pt idx="5">
                  <c:v>3.415360141907416</c:v>
                </c:pt>
                <c:pt idx="6">
                  <c:v>4.098432170288899</c:v>
                </c:pt>
                <c:pt idx="7">
                  <c:v>4.781504198670383</c:v>
                </c:pt>
                <c:pt idx="8">
                  <c:v>5.464576227051866</c:v>
                </c:pt>
                <c:pt idx="9">
                  <c:v>6.14764825543335</c:v>
                </c:pt>
                <c:pt idx="10">
                  <c:v>6.830720283814833</c:v>
                </c:pt>
                <c:pt idx="11">
                  <c:v>7.513792312196315</c:v>
                </c:pt>
                <c:pt idx="12">
                  <c:v>8.196864340577798</c:v>
                </c:pt>
                <c:pt idx="13">
                  <c:v>8.87993636895928</c:v>
                </c:pt>
                <c:pt idx="14">
                  <c:v>9.563008397340766</c:v>
                </c:pt>
                <c:pt idx="15">
                  <c:v>10.24608042572225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</c:numCache>
            </c:numRef>
          </c:xVal>
          <c:yVal>
            <c:numRef>
              <c:f>Sheet1!$P$6:$P$35</c:f>
              <c:numCache>
                <c:formatCode>0.0</c:formatCode>
                <c:ptCount val="30"/>
                <c:pt idx="0">
                  <c:v>0.0</c:v>
                </c:pt>
                <c:pt idx="1">
                  <c:v>0.659742658583623</c:v>
                </c:pt>
                <c:pt idx="2">
                  <c:v>1.272826577571527</c:v>
                </c:pt>
                <c:pt idx="3">
                  <c:v>1.839251756963712</c:v>
                </c:pt>
                <c:pt idx="4">
                  <c:v>2.359018196760177</c:v>
                </c:pt>
                <c:pt idx="5">
                  <c:v>2.832125896960923</c:v>
                </c:pt>
                <c:pt idx="6">
                  <c:v>3.25857485756595</c:v>
                </c:pt>
                <c:pt idx="7">
                  <c:v>3.638365078575257</c:v>
                </c:pt>
                <c:pt idx="8">
                  <c:v>3.971496559988844</c:v>
                </c:pt>
                <c:pt idx="9">
                  <c:v>4.257969301806713</c:v>
                </c:pt>
                <c:pt idx="10">
                  <c:v>4.497783304028862</c:v>
                </c:pt>
                <c:pt idx="11">
                  <c:v>4.690938566655291</c:v>
                </c:pt>
                <c:pt idx="12">
                  <c:v>4.837435089686001</c:v>
                </c:pt>
                <c:pt idx="13">
                  <c:v>4.937272873120993</c:v>
                </c:pt>
                <c:pt idx="14">
                  <c:v>4.990451916960264</c:v>
                </c:pt>
                <c:pt idx="15">
                  <c:v>4.996972221203816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9336968"/>
        <c:axId val="2089342360"/>
      </c:scatterChart>
      <c:valAx>
        <c:axId val="2089336968"/>
        <c:scaling>
          <c:orientation val="minMax"/>
        </c:scaling>
        <c:delete val="0"/>
        <c:axPos val="b"/>
        <c:majorGridlines/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089342360"/>
        <c:crosses val="autoZero"/>
        <c:crossBetween val="midCat"/>
      </c:valAx>
      <c:valAx>
        <c:axId val="2089342360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089336968"/>
        <c:crosses val="autoZero"/>
        <c:crossBetween val="midCat"/>
      </c:valAx>
    </c:plotArea>
    <c:legend>
      <c:legendPos val="t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148735271456223"/>
          <c:y val="0.0376068376068376"/>
          <c:w val="0.648370800664842"/>
          <c:h val="0.0467175449222693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228600</xdr:colOff>
      <xdr:row>1</xdr:row>
      <xdr:rowOff>38100</xdr:rowOff>
    </xdr:from>
    <xdr:to>
      <xdr:col>23</xdr:col>
      <xdr:colOff>406400</xdr:colOff>
      <xdr:row>40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tabSelected="1" workbookViewId="0">
      <selection activeCell="E22" sqref="E22"/>
    </sheetView>
  </sheetViews>
  <sheetFormatPr baseColWidth="10" defaultRowHeight="15" x14ac:dyDescent="0"/>
  <cols>
    <col min="1" max="2" width="2.6640625" customWidth="1"/>
    <col min="3" max="3" width="2.83203125" customWidth="1"/>
    <col min="4" max="4" width="13.33203125" customWidth="1"/>
    <col min="5" max="5" width="6.83203125" bestFit="1" customWidth="1"/>
    <col min="6" max="6" width="9.33203125" customWidth="1"/>
    <col min="7" max="7" width="4.33203125" customWidth="1"/>
    <col min="8" max="8" width="2.5" customWidth="1"/>
    <col min="9" max="9" width="3.1640625" bestFit="1" customWidth="1"/>
    <col min="10" max="10" width="3.83203125" bestFit="1" customWidth="1"/>
    <col min="11" max="16" width="5.1640625" customWidth="1"/>
    <col min="24" max="24" width="7.1640625" customWidth="1"/>
  </cols>
  <sheetData>
    <row r="1" spans="1:27">
      <c r="A1" t="s">
        <v>45</v>
      </c>
    </row>
    <row r="4" spans="1:27">
      <c r="B4" t="s">
        <v>4</v>
      </c>
      <c r="H4" t="s">
        <v>20</v>
      </c>
    </row>
    <row r="5" spans="1:27">
      <c r="C5" t="s">
        <v>22</v>
      </c>
      <c r="E5">
        <v>10</v>
      </c>
      <c r="F5" t="s">
        <v>26</v>
      </c>
      <c r="I5" s="5" t="s">
        <v>34</v>
      </c>
      <c r="J5" s="5" t="s">
        <v>3</v>
      </c>
      <c r="K5" s="5" t="s">
        <v>35</v>
      </c>
      <c r="L5" s="5" t="s">
        <v>36</v>
      </c>
      <c r="M5" s="5" t="s">
        <v>37</v>
      </c>
      <c r="N5" s="5" t="s">
        <v>38</v>
      </c>
      <c r="O5" s="5" t="s">
        <v>39</v>
      </c>
      <c r="P5" s="5" t="s">
        <v>40</v>
      </c>
    </row>
    <row r="6" spans="1:27">
      <c r="C6" t="s">
        <v>23</v>
      </c>
      <c r="E6">
        <v>5</v>
      </c>
      <c r="F6" t="s">
        <v>26</v>
      </c>
      <c r="I6">
        <v>1</v>
      </c>
      <c r="J6" s="3">
        <f t="shared" ref="J6:J35" si="0">($I6-1)*$E$34/($I$35-1)</f>
        <v>0</v>
      </c>
      <c r="K6" s="3">
        <f>IF($J6&gt;$E$19,0,$E$7*COS(RADIANS($E$22))*$J6)</f>
        <v>0</v>
      </c>
      <c r="L6" s="3">
        <f>IF($J6&gt;$E$19,"",$E$7*SIN(RADIANS($E$22))*$J6+0.5*$E$8*$J6^2)</f>
        <v>0</v>
      </c>
      <c r="M6" s="3">
        <f>IF($J6&gt;$E$20,0,$E$7*COS(RADIANS($E$23))*$J6)</f>
        <v>0</v>
      </c>
      <c r="N6" s="3">
        <f>IF($J6&gt;$E$20,"",$E$7*SIN(RADIANS($E$23))*$J6+0.5*$E$8*$J6^2)</f>
        <v>0</v>
      </c>
      <c r="O6" s="3">
        <f>IF($J6&gt;$E$29,0,$E$31*COS(RADIANS($E$30))*$J6)</f>
        <v>0</v>
      </c>
      <c r="P6" s="3">
        <f>IF($J6&gt;$E$29,"",$E$31*SIN(RADIANS($E$30))*$J6+0.5*$E$8*$J6^2)</f>
        <v>0</v>
      </c>
    </row>
    <row r="7" spans="1:27">
      <c r="C7" t="s">
        <v>24</v>
      </c>
      <c r="E7">
        <v>13</v>
      </c>
      <c r="F7" t="s">
        <v>17</v>
      </c>
      <c r="I7">
        <v>2</v>
      </c>
      <c r="J7" s="3">
        <f t="shared" si="0"/>
        <v>6.8965517241379309E-2</v>
      </c>
      <c r="K7" s="3">
        <f t="shared" ref="K7:K35" si="1">IF($J6&gt;$E$19,0,$E$7*COS(RADIANS($E$22))*$J7)</f>
        <v>0.36852558422128656</v>
      </c>
      <c r="L7" s="3">
        <f t="shared" ref="L7:L35" si="2">IF($J6&gt;$E$19,"",$E$7*SIN(RADIANS($E$22))*$J7+0.5*$E$8*$J7^2)</f>
        <v>0.79397956067400055</v>
      </c>
      <c r="M7" s="3">
        <f t="shared" ref="M7:M35" si="3">IF($J6&gt;$E$20,0,$E$7*COS(RADIANS($E$23))*$J7)</f>
        <v>0.56621367930776745</v>
      </c>
      <c r="N7" s="3">
        <f t="shared" ref="N7:N35" si="4">IF($J6&gt;$E$20,"",$E$7*SIN(RADIANS($E$23))*$J7+0.5*$E$8*$J7^2)</f>
        <v>0.67180159873933432</v>
      </c>
      <c r="O7" s="3">
        <f>IF($J6&gt;$E$29,0,$E$31*COS(RADIANS($E$30))*$J7)</f>
        <v>0.68307202838148329</v>
      </c>
      <c r="P7" s="3">
        <f>IF($J6&gt;$E$29,"",$E$31*SIN(RADIANS($E$30))*$J7+0.5*$E$8*$J7^2)</f>
        <v>0.65974265858362335</v>
      </c>
    </row>
    <row r="8" spans="1:27">
      <c r="C8" t="s">
        <v>25</v>
      </c>
      <c r="E8">
        <v>-9.81</v>
      </c>
      <c r="F8" t="s">
        <v>27</v>
      </c>
      <c r="I8">
        <v>3</v>
      </c>
      <c r="J8" s="3">
        <f t="shared" si="0"/>
        <v>0.13793103448275862</v>
      </c>
      <c r="K8" s="3">
        <f t="shared" si="1"/>
        <v>0.73705116844257312</v>
      </c>
      <c r="L8" s="3">
        <f t="shared" si="2"/>
        <v>1.5413003817522817</v>
      </c>
      <c r="M8" s="3">
        <f t="shared" si="3"/>
        <v>1.1324273586155349</v>
      </c>
      <c r="N8" s="3">
        <f t="shared" si="4"/>
        <v>1.2969444578829492</v>
      </c>
      <c r="O8" s="3">
        <f t="shared" ref="O8:O35" si="5">IF($J7&gt;$E$29,0,$E$31*COS(RADIANS($E$30))*$J8)</f>
        <v>1.3661440567629666</v>
      </c>
      <c r="P8" s="3">
        <f t="shared" ref="P8:P35" si="6">IF($J7&gt;$E$29,"",$E$31*SIN(RADIANS($E$30))*$J8+0.5*$E$8*$J8^2)</f>
        <v>1.2728265775715273</v>
      </c>
    </row>
    <row r="9" spans="1:27">
      <c r="I9">
        <v>4</v>
      </c>
      <c r="J9" s="3">
        <f t="shared" si="0"/>
        <v>0.20689655172413793</v>
      </c>
      <c r="K9" s="3">
        <f t="shared" si="1"/>
        <v>1.1055767526638598</v>
      </c>
      <c r="L9" s="3">
        <f t="shared" si="2"/>
        <v>2.2419624632348438</v>
      </c>
      <c r="M9" s="3">
        <f t="shared" si="3"/>
        <v>1.6986410379233023</v>
      </c>
      <c r="N9" s="3">
        <f t="shared" si="4"/>
        <v>1.875428577430845</v>
      </c>
      <c r="O9" s="3">
        <f t="shared" si="5"/>
        <v>2.0492160851444496</v>
      </c>
      <c r="P9" s="3">
        <f t="shared" si="6"/>
        <v>1.8392517569637119</v>
      </c>
    </row>
    <row r="10" spans="1:27">
      <c r="B10" t="s">
        <v>6</v>
      </c>
      <c r="I10">
        <v>5</v>
      </c>
      <c r="J10" s="3">
        <f t="shared" si="0"/>
        <v>0.27586206896551724</v>
      </c>
      <c r="K10" s="3">
        <f t="shared" si="1"/>
        <v>1.4741023368851462</v>
      </c>
      <c r="L10" s="3">
        <f t="shared" si="2"/>
        <v>2.8959658051216861</v>
      </c>
      <c r="M10" s="3">
        <f t="shared" si="3"/>
        <v>2.2648547172310698</v>
      </c>
      <c r="N10" s="3">
        <f t="shared" si="4"/>
        <v>2.4072539573830212</v>
      </c>
      <c r="O10" s="3">
        <f t="shared" si="5"/>
        <v>2.7322881135259331</v>
      </c>
      <c r="P10" s="3">
        <f t="shared" si="6"/>
        <v>2.3590181967601773</v>
      </c>
    </row>
    <row r="11" spans="1:27">
      <c r="C11" t="s">
        <v>0</v>
      </c>
      <c r="E11" s="3">
        <f>($E$8^2)/4</f>
        <v>24.059025000000002</v>
      </c>
      <c r="I11">
        <v>6</v>
      </c>
      <c r="J11" s="3">
        <f t="shared" si="0"/>
        <v>0.34482758620689657</v>
      </c>
      <c r="K11" s="3">
        <f t="shared" si="1"/>
        <v>1.8426279211064329</v>
      </c>
      <c r="L11" s="3">
        <f t="shared" si="2"/>
        <v>3.5033104074128092</v>
      </c>
      <c r="M11" s="3">
        <f t="shared" si="3"/>
        <v>2.8310683965388375</v>
      </c>
      <c r="N11" s="3">
        <f t="shared" si="4"/>
        <v>2.8924205977394779</v>
      </c>
      <c r="O11" s="3">
        <f t="shared" si="5"/>
        <v>3.4153601419074167</v>
      </c>
      <c r="P11" s="3">
        <f t="shared" si="6"/>
        <v>2.8321258969609233</v>
      </c>
    </row>
    <row r="12" spans="1:27">
      <c r="C12" t="s">
        <v>1</v>
      </c>
      <c r="E12" s="3">
        <f>-$E$6*$E$8-$E$7^2</f>
        <v>-119.94999999999999</v>
      </c>
      <c r="I12">
        <v>7</v>
      </c>
      <c r="J12" s="3">
        <f t="shared" si="0"/>
        <v>0.41379310344827586</v>
      </c>
      <c r="K12" s="3">
        <f t="shared" si="1"/>
        <v>2.2111535053277196</v>
      </c>
      <c r="L12" s="3">
        <f t="shared" si="2"/>
        <v>4.0639962701082126</v>
      </c>
      <c r="M12" s="3">
        <f t="shared" si="3"/>
        <v>3.3972820758466047</v>
      </c>
      <c r="N12" s="3">
        <f t="shared" si="4"/>
        <v>3.3309284985002154</v>
      </c>
      <c r="O12" s="3">
        <f t="shared" si="5"/>
        <v>4.0984321702888993</v>
      </c>
      <c r="P12" s="3">
        <f t="shared" si="6"/>
        <v>3.2585748575659492</v>
      </c>
      <c r="AA12" t="s">
        <v>47</v>
      </c>
    </row>
    <row r="13" spans="1:27">
      <c r="C13" t="s">
        <v>5</v>
      </c>
      <c r="E13" s="3">
        <f>$E$5^2+$E$6^2</f>
        <v>125</v>
      </c>
      <c r="I13">
        <v>8</v>
      </c>
      <c r="J13" s="3">
        <f t="shared" si="0"/>
        <v>0.48275862068965519</v>
      </c>
      <c r="K13" s="3">
        <f t="shared" si="1"/>
        <v>2.579679089549006</v>
      </c>
      <c r="L13" s="3">
        <f t="shared" si="2"/>
        <v>4.5780233932078964</v>
      </c>
      <c r="M13" s="3">
        <f t="shared" si="3"/>
        <v>3.9634957551543724</v>
      </c>
      <c r="N13" s="3">
        <f t="shared" si="4"/>
        <v>3.7227776596652338</v>
      </c>
      <c r="O13" s="3">
        <f t="shared" si="5"/>
        <v>4.7815041986703832</v>
      </c>
      <c r="P13" s="3">
        <f t="shared" si="6"/>
        <v>3.6383650785752573</v>
      </c>
      <c r="Y13" t="s">
        <v>46</v>
      </c>
      <c r="Z13">
        <f>SQRT((E7*COS(RADIANS(AVERAGE(E22:E23))))^2+(AVERAGE(E25:E26))^2)</f>
        <v>8.0157692131855303</v>
      </c>
      <c r="AA13">
        <f>Z13^2</f>
        <v>64.252556079052979</v>
      </c>
    </row>
    <row r="14" spans="1:27">
      <c r="C14" t="s">
        <v>7</v>
      </c>
      <c r="E14" s="1">
        <f>(-$E$12+SQRT($E$12^2-4*$E$11*$E$13))/(2*$E$11)</f>
        <v>3.5021013380664354</v>
      </c>
      <c r="I14">
        <v>9</v>
      </c>
      <c r="J14" s="3">
        <f t="shared" si="0"/>
        <v>0.55172413793103448</v>
      </c>
      <c r="K14" s="3">
        <f t="shared" si="1"/>
        <v>2.9482046737702925</v>
      </c>
      <c r="L14" s="3">
        <f t="shared" si="2"/>
        <v>5.0453917767118615</v>
      </c>
      <c r="M14" s="3">
        <f t="shared" si="3"/>
        <v>4.5297094344621396</v>
      </c>
      <c r="N14" s="3">
        <f t="shared" si="4"/>
        <v>4.0679680812345325</v>
      </c>
      <c r="O14" s="3">
        <f t="shared" si="5"/>
        <v>5.4645762270518663</v>
      </c>
      <c r="P14" s="3">
        <f t="shared" si="6"/>
        <v>3.9714965599888443</v>
      </c>
    </row>
    <row r="15" spans="1:27">
      <c r="C15" t="s">
        <v>8</v>
      </c>
      <c r="E15" s="1">
        <f>(-$E$12-SQRT($E$12^2-4*$E$11*$E$13))/(2*$E$11)</f>
        <v>1.4835537331594346</v>
      </c>
      <c r="I15">
        <v>10</v>
      </c>
      <c r="J15" s="3">
        <f t="shared" si="0"/>
        <v>0.62068965517241381</v>
      </c>
      <c r="K15" s="3">
        <f t="shared" si="1"/>
        <v>3.3167302579915794</v>
      </c>
      <c r="L15" s="3">
        <f t="shared" si="2"/>
        <v>5.4661014206201068</v>
      </c>
      <c r="M15" s="3">
        <f t="shared" si="3"/>
        <v>5.0959231137699073</v>
      </c>
      <c r="N15" s="3">
        <f t="shared" si="4"/>
        <v>4.3664997632081111</v>
      </c>
      <c r="O15" s="3">
        <f t="shared" si="5"/>
        <v>6.1476482554333494</v>
      </c>
      <c r="P15" s="3">
        <f t="shared" si="6"/>
        <v>4.2579693018067131</v>
      </c>
      <c r="Z15" t="s">
        <v>48</v>
      </c>
      <c r="AA15">
        <f>2*9.81*E6</f>
        <v>98.100000000000009</v>
      </c>
    </row>
    <row r="16" spans="1:27">
      <c r="I16">
        <v>11</v>
      </c>
      <c r="J16" s="3">
        <f t="shared" si="0"/>
        <v>0.68965517241379315</v>
      </c>
      <c r="K16" s="3">
        <f t="shared" si="1"/>
        <v>3.6852558422128658</v>
      </c>
      <c r="L16" s="3">
        <f t="shared" si="2"/>
        <v>5.8401523249326335</v>
      </c>
      <c r="M16" s="3">
        <f t="shared" si="3"/>
        <v>5.6621367930776749</v>
      </c>
      <c r="N16" s="3">
        <f t="shared" si="4"/>
        <v>4.6183727055859709</v>
      </c>
      <c r="O16" s="3">
        <f t="shared" si="5"/>
        <v>6.8307202838148333</v>
      </c>
      <c r="P16" s="3">
        <f t="shared" si="6"/>
        <v>4.4977833040288626</v>
      </c>
    </row>
    <row r="17" spans="2:27">
      <c r="B17" t="s">
        <v>21</v>
      </c>
      <c r="I17">
        <v>12</v>
      </c>
      <c r="J17" s="3">
        <f t="shared" si="0"/>
        <v>0.75862068965517238</v>
      </c>
      <c r="K17" s="3">
        <f t="shared" si="1"/>
        <v>4.0537814264341518</v>
      </c>
      <c r="L17" s="3">
        <f t="shared" si="2"/>
        <v>6.1675444896494405</v>
      </c>
      <c r="M17" s="3">
        <f t="shared" si="3"/>
        <v>6.2283504723854417</v>
      </c>
      <c r="N17" s="3">
        <f t="shared" si="4"/>
        <v>4.823586908368112</v>
      </c>
      <c r="O17" s="3">
        <f t="shared" si="5"/>
        <v>7.5137923121963155</v>
      </c>
      <c r="P17" s="3">
        <f t="shared" si="6"/>
        <v>4.6909385666552907</v>
      </c>
      <c r="Z17" t="s">
        <v>49</v>
      </c>
      <c r="AA17">
        <f>E7^2</f>
        <v>169</v>
      </c>
    </row>
    <row r="18" spans="2:27">
      <c r="C18" t="s">
        <v>9</v>
      </c>
      <c r="I18">
        <v>13</v>
      </c>
      <c r="J18" s="3">
        <f t="shared" si="0"/>
        <v>0.82758620689655171</v>
      </c>
      <c r="K18" s="3">
        <f t="shared" si="1"/>
        <v>4.4223070106554392</v>
      </c>
      <c r="L18" s="3">
        <f t="shared" si="2"/>
        <v>6.4482779147705278</v>
      </c>
      <c r="M18" s="3">
        <f t="shared" si="3"/>
        <v>6.7945641516932094</v>
      </c>
      <c r="N18" s="3">
        <f t="shared" si="4"/>
        <v>4.9821423715545334</v>
      </c>
      <c r="O18" s="3">
        <f t="shared" si="5"/>
        <v>8.1968643405777986</v>
      </c>
      <c r="P18" s="3">
        <f t="shared" si="6"/>
        <v>4.837435089686001</v>
      </c>
    </row>
    <row r="19" spans="2:27">
      <c r="D19" t="s">
        <v>10</v>
      </c>
      <c r="E19" s="2">
        <f>SQRT($E$14)</f>
        <v>1.8713902153389697</v>
      </c>
      <c r="F19" t="s">
        <v>19</v>
      </c>
      <c r="I19">
        <v>14</v>
      </c>
      <c r="J19" s="3">
        <f t="shared" si="0"/>
        <v>0.89655172413793105</v>
      </c>
      <c r="K19" s="3">
        <f t="shared" si="1"/>
        <v>4.7908325948767256</v>
      </c>
      <c r="L19" s="3">
        <f t="shared" si="2"/>
        <v>6.6823526002958955</v>
      </c>
      <c r="M19" s="3">
        <f t="shared" si="3"/>
        <v>7.360777831000977</v>
      </c>
      <c r="N19" s="3">
        <f t="shared" si="4"/>
        <v>5.0940390951452352</v>
      </c>
      <c r="O19" s="3">
        <f t="shared" si="5"/>
        <v>8.8799363689592816</v>
      </c>
      <c r="P19" s="3">
        <f t="shared" si="6"/>
        <v>4.9372728731209934</v>
      </c>
    </row>
    <row r="20" spans="2:27">
      <c r="D20" t="s">
        <v>2</v>
      </c>
      <c r="E20" s="2">
        <f>SQRT($E$15)</f>
        <v>1.218012205669317</v>
      </c>
      <c r="F20" t="s">
        <v>19</v>
      </c>
      <c r="I20">
        <v>15</v>
      </c>
      <c r="J20" s="3">
        <f t="shared" si="0"/>
        <v>0.96551724137931039</v>
      </c>
      <c r="K20" s="3">
        <f t="shared" si="1"/>
        <v>5.1593581790980121</v>
      </c>
      <c r="L20" s="3">
        <f t="shared" si="2"/>
        <v>6.8697685462255436</v>
      </c>
      <c r="M20" s="3">
        <f t="shared" si="3"/>
        <v>7.9269915103087447</v>
      </c>
      <c r="N20" s="3">
        <f t="shared" si="4"/>
        <v>5.1592770791402174</v>
      </c>
      <c r="O20" s="3">
        <f t="shared" si="5"/>
        <v>9.5630083973407665</v>
      </c>
      <c r="P20" s="3">
        <f t="shared" si="6"/>
        <v>4.9904519169602644</v>
      </c>
      <c r="AA20">
        <f>AA17-AA15</f>
        <v>70.899999999999991</v>
      </c>
    </row>
    <row r="21" spans="2:27">
      <c r="C21" t="s">
        <v>11</v>
      </c>
      <c r="I21">
        <v>16</v>
      </c>
      <c r="J21" s="3">
        <f t="shared" si="0"/>
        <v>1.0344827586206897</v>
      </c>
      <c r="K21" s="3">
        <f t="shared" si="1"/>
        <v>5.5278837633192985</v>
      </c>
      <c r="L21" s="3">
        <f t="shared" si="2"/>
        <v>7.0105257525594729</v>
      </c>
      <c r="M21" s="3">
        <f t="shared" si="3"/>
        <v>8.4932051896165124</v>
      </c>
      <c r="N21" s="3">
        <f t="shared" si="4"/>
        <v>5.1778563235394808</v>
      </c>
      <c r="O21" s="3">
        <f t="shared" si="5"/>
        <v>10.24608042572225</v>
      </c>
      <c r="P21" s="3">
        <f t="shared" si="6"/>
        <v>4.9969722212038166</v>
      </c>
    </row>
    <row r="22" spans="2:27">
      <c r="D22" t="s">
        <v>12</v>
      </c>
      <c r="E22" s="3">
        <f>DEGREES(ACOS($E$5/($E$7*E19)))</f>
        <v>65.729329103346998</v>
      </c>
      <c r="F22" t="s">
        <v>18</v>
      </c>
      <c r="I22">
        <v>17</v>
      </c>
      <c r="J22" s="3">
        <f t="shared" si="0"/>
        <v>1.103448275862069</v>
      </c>
      <c r="K22" s="3">
        <f t="shared" si="1"/>
        <v>5.896409347540585</v>
      </c>
      <c r="L22" s="3">
        <f t="shared" si="2"/>
        <v>7.1046242192976834</v>
      </c>
      <c r="M22" s="3">
        <f t="shared" si="3"/>
        <v>9.0594188689242792</v>
      </c>
      <c r="N22" s="3">
        <f t="shared" si="4"/>
        <v>5.1497768283430236</v>
      </c>
      <c r="O22" s="3">
        <f t="shared" si="5"/>
        <v>0</v>
      </c>
      <c r="P22" s="3" t="str">
        <f t="shared" si="6"/>
        <v/>
      </c>
    </row>
    <row r="23" spans="2:27">
      <c r="D23" t="s">
        <v>16</v>
      </c>
      <c r="E23" s="3">
        <f>DEGREES(ACOS($E$5/($E$7*E20)))</f>
        <v>50.835722073730992</v>
      </c>
      <c r="F23" t="s">
        <v>18</v>
      </c>
      <c r="I23">
        <v>18</v>
      </c>
      <c r="J23" s="3">
        <f t="shared" si="0"/>
        <v>1.1724137931034482</v>
      </c>
      <c r="K23" s="3">
        <f t="shared" si="1"/>
        <v>6.2649349317618714</v>
      </c>
      <c r="L23" s="3">
        <f t="shared" si="2"/>
        <v>7.1520639464401752</v>
      </c>
      <c r="M23" s="3">
        <f t="shared" si="3"/>
        <v>9.6256325482320459</v>
      </c>
      <c r="N23" s="3">
        <f t="shared" si="4"/>
        <v>5.0750385935508495</v>
      </c>
      <c r="O23" s="3">
        <f t="shared" si="5"/>
        <v>0</v>
      </c>
      <c r="P23" s="3" t="str">
        <f t="shared" si="6"/>
        <v/>
      </c>
    </row>
    <row r="24" spans="2:27">
      <c r="C24" t="s">
        <v>13</v>
      </c>
      <c r="I24">
        <v>19</v>
      </c>
      <c r="J24" s="3">
        <f t="shared" si="0"/>
        <v>1.2413793103448276</v>
      </c>
      <c r="K24" s="3">
        <f t="shared" si="1"/>
        <v>6.6334605159831588</v>
      </c>
      <c r="L24" s="3">
        <f t="shared" si="2"/>
        <v>7.1528449339869438</v>
      </c>
      <c r="M24" s="3">
        <f t="shared" si="3"/>
        <v>10.191846227539815</v>
      </c>
      <c r="N24" s="3">
        <f t="shared" si="4"/>
        <v>4.9536416191629522</v>
      </c>
      <c r="O24" s="3">
        <f t="shared" si="5"/>
        <v>0</v>
      </c>
      <c r="P24" s="3" t="str">
        <f t="shared" si="6"/>
        <v/>
      </c>
    </row>
    <row r="25" spans="2:27">
      <c r="D25" t="s">
        <v>14</v>
      </c>
      <c r="E25" s="2">
        <f>$E$7*SIN(RADIANS(E22))+$E$8*E19</f>
        <v>-6.5073585206333195</v>
      </c>
      <c r="F25" t="s">
        <v>17</v>
      </c>
      <c r="I25">
        <v>20</v>
      </c>
      <c r="J25" s="3">
        <f t="shared" si="0"/>
        <v>1.3103448275862069</v>
      </c>
      <c r="K25" s="3">
        <f t="shared" si="1"/>
        <v>7.0019861002044443</v>
      </c>
      <c r="L25" s="3">
        <f t="shared" si="2"/>
        <v>7.1069671819379963</v>
      </c>
      <c r="M25" s="3">
        <f t="shared" si="3"/>
        <v>0</v>
      </c>
      <c r="N25" s="3" t="str">
        <f t="shared" si="4"/>
        <v/>
      </c>
      <c r="O25" s="3">
        <f t="shared" si="5"/>
        <v>0</v>
      </c>
      <c r="P25" s="3" t="str">
        <f t="shared" si="6"/>
        <v/>
      </c>
    </row>
    <row r="26" spans="2:27">
      <c r="D26" s="4" t="s">
        <v>15</v>
      </c>
      <c r="E26" s="2">
        <f>$E$7*SIN(RADIANS(E23))+$E$8*E20</f>
        <v>-1.8693006938266858</v>
      </c>
      <c r="F26" t="s">
        <v>17</v>
      </c>
      <c r="I26">
        <v>21</v>
      </c>
      <c r="J26" s="3">
        <f t="shared" si="0"/>
        <v>1.3793103448275863</v>
      </c>
      <c r="K26" s="3">
        <f t="shared" si="1"/>
        <v>7.3705116844257317</v>
      </c>
      <c r="L26" s="3">
        <f t="shared" si="2"/>
        <v>7.0144306902933291</v>
      </c>
      <c r="M26" s="3">
        <f t="shared" si="3"/>
        <v>0</v>
      </c>
      <c r="N26" s="3" t="str">
        <f t="shared" si="4"/>
        <v/>
      </c>
      <c r="O26" s="3">
        <f t="shared" si="5"/>
        <v>0</v>
      </c>
      <c r="P26" s="3" t="str">
        <f t="shared" si="6"/>
        <v/>
      </c>
    </row>
    <row r="27" spans="2:27">
      <c r="I27">
        <v>22</v>
      </c>
      <c r="J27" s="3">
        <f t="shared" si="0"/>
        <v>1.4482758620689655</v>
      </c>
      <c r="K27" s="3">
        <f t="shared" si="1"/>
        <v>7.7390372686470181</v>
      </c>
      <c r="L27" s="3">
        <f t="shared" si="2"/>
        <v>6.8752354590529414</v>
      </c>
      <c r="M27" s="3">
        <f t="shared" si="3"/>
        <v>0</v>
      </c>
      <c r="N27" s="3" t="str">
        <f t="shared" si="4"/>
        <v/>
      </c>
      <c r="O27" s="3">
        <f t="shared" si="5"/>
        <v>0</v>
      </c>
      <c r="P27" s="3" t="str">
        <f t="shared" si="6"/>
        <v/>
      </c>
    </row>
    <row r="28" spans="2:27">
      <c r="B28" t="s">
        <v>44</v>
      </c>
      <c r="I28">
        <v>23</v>
      </c>
      <c r="J28" s="3">
        <f t="shared" si="0"/>
        <v>1.5172413793103448</v>
      </c>
      <c r="K28" s="3">
        <f t="shared" si="1"/>
        <v>8.1075628528683037</v>
      </c>
      <c r="L28" s="3">
        <f t="shared" si="2"/>
        <v>6.6893814882168368</v>
      </c>
      <c r="M28" s="3">
        <f t="shared" si="3"/>
        <v>0</v>
      </c>
      <c r="N28" s="3" t="str">
        <f t="shared" si="4"/>
        <v/>
      </c>
      <c r="O28" s="3">
        <f t="shared" si="5"/>
        <v>0</v>
      </c>
      <c r="P28" s="3" t="str">
        <f t="shared" si="6"/>
        <v/>
      </c>
    </row>
    <row r="29" spans="2:27">
      <c r="C29" t="s">
        <v>41</v>
      </c>
      <c r="E29" s="2">
        <f>SQRT(-2*$E$8*$E$6)/(-$E$8)</f>
        <v>1.0096375546923044</v>
      </c>
      <c r="F29" t="s">
        <v>19</v>
      </c>
      <c r="I29">
        <v>24</v>
      </c>
      <c r="J29" s="3">
        <f t="shared" si="0"/>
        <v>1.5862068965517242</v>
      </c>
      <c r="K29" s="3">
        <f t="shared" si="1"/>
        <v>8.4760884370895919</v>
      </c>
      <c r="L29" s="3">
        <f t="shared" si="2"/>
        <v>6.456868777785008</v>
      </c>
      <c r="M29" s="3">
        <f t="shared" si="3"/>
        <v>0</v>
      </c>
      <c r="N29" s="3" t="str">
        <f t="shared" si="4"/>
        <v/>
      </c>
      <c r="O29" s="3">
        <f t="shared" si="5"/>
        <v>0</v>
      </c>
      <c r="P29" s="3" t="str">
        <f t="shared" si="6"/>
        <v/>
      </c>
    </row>
    <row r="30" spans="2:27">
      <c r="C30" t="s">
        <v>42</v>
      </c>
      <c r="E30" s="3">
        <f>DEGREES(ATAN((-$E$8*$E$29^2)/$E$5))</f>
        <v>45</v>
      </c>
      <c r="F30" t="s">
        <v>18</v>
      </c>
      <c r="I30">
        <v>25</v>
      </c>
      <c r="J30" s="3">
        <f t="shared" si="0"/>
        <v>1.6551724137931034</v>
      </c>
      <c r="K30" s="3">
        <f t="shared" si="1"/>
        <v>8.8446140213108784</v>
      </c>
      <c r="L30" s="3">
        <f t="shared" si="2"/>
        <v>6.1776973277574641</v>
      </c>
      <c r="M30" s="3">
        <f t="shared" si="3"/>
        <v>0</v>
      </c>
      <c r="N30" s="3" t="str">
        <f t="shared" si="4"/>
        <v/>
      </c>
      <c r="O30" s="3">
        <f t="shared" si="5"/>
        <v>0</v>
      </c>
      <c r="P30" s="3" t="str">
        <f t="shared" si="6"/>
        <v/>
      </c>
    </row>
    <row r="31" spans="2:27">
      <c r="C31" t="s">
        <v>43</v>
      </c>
      <c r="E31">
        <f>$E$5/($E$29*COS(RADIANS($E$30)))</f>
        <v>14.007141035914502</v>
      </c>
      <c r="F31" t="s">
        <v>17</v>
      </c>
      <c r="I31">
        <v>26</v>
      </c>
      <c r="J31" s="3">
        <f t="shared" si="0"/>
        <v>1.7241379310344827</v>
      </c>
      <c r="K31" s="3">
        <f t="shared" si="1"/>
        <v>9.213139605532163</v>
      </c>
      <c r="L31" s="3">
        <f t="shared" si="2"/>
        <v>5.8518671381342013</v>
      </c>
      <c r="M31" s="3">
        <f t="shared" si="3"/>
        <v>0</v>
      </c>
      <c r="N31" s="3" t="str">
        <f t="shared" si="4"/>
        <v/>
      </c>
      <c r="O31" s="3">
        <f t="shared" si="5"/>
        <v>0</v>
      </c>
      <c r="P31" s="3" t="str">
        <f t="shared" si="6"/>
        <v/>
      </c>
    </row>
    <row r="32" spans="2:27">
      <c r="I32">
        <v>27</v>
      </c>
      <c r="J32" s="3">
        <f t="shared" si="0"/>
        <v>1.7931034482758621</v>
      </c>
      <c r="K32" s="3">
        <f t="shared" si="1"/>
        <v>9.5816651897534513</v>
      </c>
      <c r="L32" s="3">
        <f t="shared" si="2"/>
        <v>5.4793782089152145</v>
      </c>
      <c r="M32" s="3">
        <f t="shared" si="3"/>
        <v>0</v>
      </c>
      <c r="N32" s="3" t="str">
        <f t="shared" si="4"/>
        <v/>
      </c>
      <c r="O32" s="3">
        <f t="shared" si="5"/>
        <v>0</v>
      </c>
      <c r="P32" s="3" t="str">
        <f t="shared" si="6"/>
        <v/>
      </c>
    </row>
    <row r="33" spans="2:16">
      <c r="B33" t="s">
        <v>20</v>
      </c>
      <c r="I33">
        <v>28</v>
      </c>
      <c r="J33" s="3">
        <f t="shared" si="0"/>
        <v>1.8620689655172413</v>
      </c>
      <c r="K33" s="3">
        <f t="shared" si="1"/>
        <v>9.9501907739747377</v>
      </c>
      <c r="L33" s="3">
        <f t="shared" si="2"/>
        <v>5.0602305401005125</v>
      </c>
      <c r="M33" s="3">
        <f t="shared" si="3"/>
        <v>0</v>
      </c>
      <c r="N33" s="3" t="str">
        <f t="shared" si="4"/>
        <v/>
      </c>
      <c r="O33" s="3">
        <f t="shared" si="5"/>
        <v>0</v>
      </c>
      <c r="P33" s="3" t="str">
        <f t="shared" si="6"/>
        <v/>
      </c>
    </row>
    <row r="34" spans="2:16">
      <c r="C34" t="s">
        <v>28</v>
      </c>
      <c r="E34" s="3">
        <f>CEILING(MAX($E$19:$E$20),1)</f>
        <v>2</v>
      </c>
      <c r="F34" t="s">
        <v>19</v>
      </c>
      <c r="I34">
        <v>29</v>
      </c>
      <c r="J34" s="3">
        <f t="shared" si="0"/>
        <v>1.9310344827586208</v>
      </c>
      <c r="K34" s="3">
        <f t="shared" si="1"/>
        <v>10.318716358196024</v>
      </c>
      <c r="L34" s="3">
        <f t="shared" si="2"/>
        <v>4.5944241316900865</v>
      </c>
      <c r="M34" s="3">
        <f t="shared" si="3"/>
        <v>0</v>
      </c>
      <c r="N34" s="3" t="str">
        <f t="shared" si="4"/>
        <v/>
      </c>
      <c r="O34" s="3">
        <f t="shared" si="5"/>
        <v>0</v>
      </c>
      <c r="P34" s="3" t="str">
        <f t="shared" si="6"/>
        <v/>
      </c>
    </row>
    <row r="35" spans="2:16">
      <c r="C35" t="s">
        <v>29</v>
      </c>
      <c r="I35">
        <v>30</v>
      </c>
      <c r="J35" s="3">
        <f t="shared" si="0"/>
        <v>2</v>
      </c>
      <c r="K35" s="3">
        <f t="shared" si="1"/>
        <v>0</v>
      </c>
      <c r="L35" s="3" t="str">
        <f t="shared" si="2"/>
        <v/>
      </c>
      <c r="M35" s="3">
        <f t="shared" si="3"/>
        <v>0</v>
      </c>
      <c r="N35" s="3" t="str">
        <f t="shared" si="4"/>
        <v/>
      </c>
      <c r="O35" s="3">
        <f t="shared" si="5"/>
        <v>0</v>
      </c>
      <c r="P35" s="3" t="str">
        <f t="shared" si="6"/>
        <v/>
      </c>
    </row>
    <row r="36" spans="2:16">
      <c r="D36" t="s">
        <v>31</v>
      </c>
      <c r="E36">
        <f>$E$5</f>
        <v>10</v>
      </c>
      <c r="F36" t="s">
        <v>26</v>
      </c>
      <c r="O36" s="3"/>
      <c r="P36" s="3"/>
    </row>
    <row r="37" spans="2:16">
      <c r="D37" t="s">
        <v>33</v>
      </c>
      <c r="E37">
        <v>0</v>
      </c>
      <c r="F37" t="s">
        <v>26</v>
      </c>
    </row>
    <row r="38" spans="2:16">
      <c r="D38" t="s">
        <v>30</v>
      </c>
      <c r="E38">
        <f>1.2*$E$36</f>
        <v>12</v>
      </c>
      <c r="F38" t="s">
        <v>26</v>
      </c>
    </row>
    <row r="39" spans="2:16">
      <c r="D39" t="s">
        <v>32</v>
      </c>
      <c r="E39">
        <f>$E$6</f>
        <v>5</v>
      </c>
      <c r="F39" t="s">
        <v>26</v>
      </c>
    </row>
  </sheetData>
  <phoneticPr fontId="4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Queen's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Secretain</dc:creator>
  <cp:lastModifiedBy>Frank Secretain</cp:lastModifiedBy>
  <cp:lastPrinted>2018-01-31T05:45:20Z</cp:lastPrinted>
  <dcterms:created xsi:type="dcterms:W3CDTF">2018-01-29T21:18:39Z</dcterms:created>
  <dcterms:modified xsi:type="dcterms:W3CDTF">2018-03-05T06:33:46Z</dcterms:modified>
</cp:coreProperties>
</file>